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II. INFORMACION PRESUPUESTAL\"/>
    </mc:Choice>
  </mc:AlternateContent>
  <bookViews>
    <workbookView xWindow="0" yWindow="0" windowWidth="28800" windowHeight="12315"/>
  </bookViews>
  <sheets>
    <sheet name="CUADRO " sheetId="2" r:id="rId1"/>
  </sheets>
  <definedNames>
    <definedName name="_xlnm.Print_Titles" localSheetId="0">'CUADRO '!$1:$6</definedName>
  </definedNames>
  <calcPr calcId="152511"/>
</workbook>
</file>

<file path=xl/calcChain.xml><?xml version="1.0" encoding="utf-8"?>
<calcChain xmlns="http://schemas.openxmlformats.org/spreadsheetml/2006/main">
  <c r="C86" i="2" l="1"/>
  <c r="E84" i="2"/>
  <c r="C84" i="2"/>
  <c r="E83" i="2"/>
  <c r="C83" i="2"/>
  <c r="E82" i="2"/>
  <c r="E81" i="2"/>
  <c r="C81" i="2"/>
  <c r="E80" i="2"/>
  <c r="C80" i="2"/>
  <c r="E79" i="2"/>
  <c r="E78" i="2"/>
  <c r="E76" i="2"/>
  <c r="C76" i="2"/>
  <c r="E75" i="2"/>
  <c r="C75" i="2"/>
  <c r="E74" i="2"/>
  <c r="E73" i="2"/>
  <c r="E72" i="2"/>
  <c r="C72" i="2"/>
  <c r="E71" i="2"/>
  <c r="C71" i="2"/>
  <c r="E70" i="2"/>
  <c r="C70" i="2"/>
  <c r="E69" i="2"/>
  <c r="C69" i="2"/>
  <c r="E68" i="2"/>
  <c r="E67" i="2"/>
  <c r="C67" i="2"/>
  <c r="E66" i="2"/>
  <c r="E65" i="2"/>
  <c r="C64" i="2"/>
  <c r="C63" i="2"/>
  <c r="E62" i="2"/>
  <c r="E61" i="2"/>
  <c r="D61" i="2"/>
  <c r="C61" i="2"/>
  <c r="E60" i="2"/>
  <c r="C60" i="2"/>
  <c r="C59" i="2"/>
  <c r="E58" i="2"/>
  <c r="E57" i="2"/>
  <c r="E56" i="2"/>
  <c r="E55" i="2"/>
  <c r="C55" i="2"/>
  <c r="E54" i="2"/>
  <c r="C54" i="2"/>
  <c r="E52" i="2"/>
  <c r="E51" i="2"/>
  <c r="C51" i="2"/>
  <c r="E50" i="2"/>
  <c r="C49" i="2"/>
  <c r="C48" i="2"/>
  <c r="C47" i="2"/>
  <c r="E46" i="2"/>
  <c r="C46" i="2"/>
  <c r="C45" i="2"/>
  <c r="C44" i="2"/>
  <c r="E43" i="2"/>
  <c r="E42" i="2"/>
  <c r="C42" i="2"/>
  <c r="E41" i="2"/>
  <c r="C40" i="2"/>
  <c r="E39" i="2"/>
  <c r="E38" i="2"/>
  <c r="C38" i="2"/>
  <c r="C36" i="2"/>
  <c r="E34" i="2" l="1"/>
  <c r="C34" i="2"/>
  <c r="C33" i="2"/>
  <c r="E32" i="2"/>
  <c r="C32" i="2"/>
  <c r="E31" i="2"/>
  <c r="E30" i="2"/>
  <c r="C30" i="2"/>
  <c r="E29" i="2"/>
  <c r="C29" i="2"/>
  <c r="E28" i="2"/>
  <c r="C28" i="2"/>
  <c r="E27" i="2"/>
  <c r="E26" i="2"/>
  <c r="C26" i="2"/>
  <c r="E25" i="2"/>
  <c r="D25" i="2"/>
  <c r="C25" i="2"/>
  <c r="C24" i="2"/>
  <c r="C23" i="2"/>
  <c r="C22" i="2"/>
  <c r="E22" i="2"/>
  <c r="E21" i="2"/>
  <c r="C21" i="2"/>
  <c r="E20" i="2"/>
  <c r="C19" i="2"/>
  <c r="E18" i="2"/>
  <c r="C18" i="2"/>
  <c r="E17" i="2"/>
  <c r="E16" i="2"/>
  <c r="C16" i="2"/>
  <c r="C15" i="2"/>
  <c r="E15" i="2"/>
  <c r="E14" i="2"/>
  <c r="C14" i="2"/>
  <c r="E13" i="2"/>
  <c r="E12" i="2"/>
  <c r="C12" i="2"/>
  <c r="E11" i="2"/>
  <c r="C11" i="2"/>
  <c r="E10" i="2"/>
  <c r="C10" i="2"/>
  <c r="E9" i="2" l="1"/>
  <c r="C9" i="2"/>
  <c r="C27" i="2" l="1"/>
  <c r="F85" i="2" l="1"/>
  <c r="F84" i="2" l="1"/>
  <c r="F82" i="2"/>
  <c r="D87" i="2" l="1"/>
  <c r="F83" i="2" l="1"/>
  <c r="C87" i="2" l="1"/>
  <c r="E87" i="2" l="1"/>
  <c r="F81" i="2"/>
  <c r="F80" i="2"/>
  <c r="F19" i="2" l="1"/>
  <c r="F18" i="2"/>
  <c r="F79" i="2" l="1"/>
  <c r="B87" i="2"/>
  <c r="F78" i="2" l="1"/>
  <c r="F75" i="2"/>
  <c r="F74" i="2"/>
  <c r="F73" i="2"/>
  <c r="F72" i="2"/>
  <c r="F71" i="2"/>
  <c r="F69" i="2"/>
  <c r="F68" i="2"/>
  <c r="F67" i="2"/>
  <c r="F66" i="2"/>
  <c r="F65" i="2"/>
  <c r="F62" i="2"/>
  <c r="F60" i="2"/>
  <c r="F58" i="2"/>
  <c r="F56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6" i="2"/>
  <c r="F77" i="2"/>
  <c r="F76" i="2"/>
  <c r="F64" i="2"/>
  <c r="F63" i="2"/>
  <c r="F59" i="2"/>
  <c r="F57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70" i="2"/>
  <c r="F25" i="2"/>
  <c r="F61" i="2"/>
  <c r="F11" i="2"/>
  <c r="F16" i="2"/>
  <c r="F87" i="2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<sst xmlns="http://schemas.openxmlformats.org/spreadsheetml/2006/main" count="91" uniqueCount="91">
  <si>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</si>
  <si>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</si>
  <si>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</si>
  <si>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</si>
  <si>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</si>
  <si>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</si>
  <si>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</si>
  <si>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</si>
  <si>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</si>
  <si>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</si>
  <si>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</si>
  <si>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</si>
  <si>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</si>
  <si>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</si>
  <si>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</si>
  <si>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</si>
  <si>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</si>
  <si>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</si>
  <si>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</si>
  <si>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</si>
  <si>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</si>
  <si>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</si>
  <si>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</si>
  <si>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</si>
  <si>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</si>
  <si>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</si>
  <si>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</si>
  <si>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</si>
  <si>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</si>
  <si>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</si>
  <si>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</si>
  <si>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</si>
  <si>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</si>
  <si>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</si>
  <si>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</si>
  <si>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</si>
  <si>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</si>
  <si>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</si>
  <si>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</si>
  <si>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</si>
  <si>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</si>
  <si>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</si>
  <si>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</si>
  <si>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</si>
  <si>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</si>
  <si>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</si>
  <si>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</si>
  <si>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</si>
  <si>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</si>
  <si>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</si>
  <si>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</si>
  <si>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</si>
  <si>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</si>
  <si>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</si>
  <si>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</si>
  <si>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</si>
  <si>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</si>
  <si>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</si>
  <si>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</si>
  <si>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</si>
  <si>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</si>
  <si>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</si>
  <si>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Comisión Coordinadora del Transporte Público</t>
  </si>
  <si>
    <t>Casa del Adulto Mayor</t>
  </si>
  <si>
    <t>Fiscalía General del Estado de Michoacán</t>
  </si>
  <si>
    <t>Instituto de Planeación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</si>
  <si>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</si>
  <si>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</si>
  <si>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</si>
  <si>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</si>
  <si>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</si>
  <si>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</si>
  <si>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</si>
  <si>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</si>
  <si>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</si>
  <si>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</si>
  <si>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</si>
  <si>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</si>
  <si>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</si>
  <si>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</si>
  <si>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</si>
  <si>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</si>
  <si>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</si>
  <si>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</si>
  <si>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</si>
  <si>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</si>
  <si>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</si>
  <si>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</si>
  <si>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</si>
  <si>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</si>
  <si>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Del 1°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</si>
</sst>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ont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1" applyNumberFormat="1" applyFont="1" applyFill="1" applyBorder="1" applyAlignment="1">
      <alignment horizontal="justify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8" xfId="0" applyNumberFormat="1" applyFont="1" applyFill="1" applyBorder="1" applyAlignment="1">
      <alignment horizontal="right" wrapText="1"/>
    </xf>
    <xf numFmtId="3" fontId="4" fillId="0" borderId="8" xfId="1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wrapText="1"/>
    </xf>
    <xf numFmtId="3" fontId="4" fillId="0" borderId="8" xfId="2" applyNumberFormat="1" applyFont="1" applyFill="1" applyBorder="1" applyAlignment="1">
      <alignment vertical="center" wrapText="1"/>
    </xf>
    <xf numFmtId="3" fontId="4" fillId="0" borderId="6" xfId="2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justify" wrapText="1"/>
    </xf>
    <xf numFmtId="43" fontId="9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43" fontId="10" fillId="0" borderId="0" xfId="1" applyFont="1" applyAlignment="1">
      <alignment horizontal="justify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0" borderId="0" xfId="0" applyNumberFormat="1" applyFont="1" applyBorder="1" applyAlignment="1">
      <alignment horizontal="center" wrapText="1"/>
    </xf>
    <xf numFmtId="37" fontId="3" fillId="2" borderId="0" xfId="0" applyNumberFormat="1" applyFont="1" applyFill="1" applyBorder="1" applyAlignment="1" applyProtection="1">
      <alignment horizontal="center" wrapText="1"/>
    </xf>
    <xf numFmtId="37" fontId="4" fillId="2" borderId="1" xfId="0" applyNumberFormat="1" applyFont="1" applyFill="1" applyBorder="1" applyAlignment="1" applyProtection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7" fontId="8" fillId="3" borderId="7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F3"/>
    </sheetView>
  </sheetViews>
  <sheetFormatPr baseColWidth="10" defaultColWidth="11.42578125" defaultRowHeight="15" x14ac:dyDescent="0.25"/>
  <cols>
    <col min="1" max="1" width="26" style="1" customWidth="1"/>
    <col min="2" max="3" width="16.85546875" style="1" bestFit="1" customWidth="1"/>
    <col min="4" max="4" width="15.85546875" style="1" bestFit="1" customWidth="1"/>
    <col min="5" max="5" width="13.5703125" style="1" bestFit="1" customWidth="1"/>
    <col min="6" max="6" width="17.7109375" style="1" bestFit="1" customWidth="1"/>
    <col min="7" max="7" width="0.85546875" style="1" customWidth="1"/>
    <col min="8" max="8" width="1.85546875" style="1" customWidth="1"/>
    <col min="9" max="16384" width="11.42578125" style="1"/>
  </cols>
  <sheetData>
    <row r="1" spans="1:6" ht="18" customHeight="1" x14ac:dyDescent="0.25">
      <c r="A1" s="18" t="s">
        <v>5</v>
      </c>
      <c r="B1" s="18"/>
      <c r="C1" s="18"/>
      <c r="D1" s="18"/>
      <c r="E1" s="18"/>
      <c r="F1" s="18"/>
    </row>
    <row r="2" spans="1:6" ht="15" customHeight="1" x14ac:dyDescent="0.25">
      <c r="A2" s="19" t="s">
        <v>54</v>
      </c>
      <c r="B2" s="19"/>
      <c r="C2" s="19"/>
      <c r="D2" s="19"/>
      <c r="E2" s="19"/>
      <c r="F2" s="19"/>
    </row>
    <row r="3" spans="1:6" ht="15" customHeight="1" x14ac:dyDescent="0.25">
      <c r="A3" s="19" t="s">
        <v>90</v>
      </c>
      <c r="B3" s="19"/>
      <c r="C3" s="19"/>
      <c r="D3" s="19"/>
      <c r="E3" s="19"/>
      <c r="F3" s="19"/>
    </row>
    <row r="4" spans="1:6" x14ac:dyDescent="0.25">
      <c r="A4" s="20"/>
      <c r="B4" s="20"/>
      <c r="C4" s="20"/>
      <c r="D4" s="20"/>
      <c r="E4" s="20"/>
      <c r="F4" s="20"/>
    </row>
    <row r="5" spans="1:6" x14ac:dyDescent="0.25">
      <c r="A5" s="21" t="s">
        <v>53</v>
      </c>
      <c r="B5" s="22" t="s">
        <v>0</v>
      </c>
      <c r="C5" s="23"/>
      <c r="D5" s="23"/>
      <c r="E5" s="23"/>
      <c r="F5" s="24"/>
    </row>
    <row r="6" spans="1:6" ht="22.5" x14ac:dyDescent="0.25">
      <c r="A6" s="25"/>
      <c r="B6" s="26" t="s">
        <v>1</v>
      </c>
      <c r="C6" s="26" t="s">
        <v>2</v>
      </c>
      <c r="D6" s="27" t="s">
        <v>3</v>
      </c>
      <c r="E6" s="27" t="s">
        <v>66</v>
      </c>
      <c r="F6" s="26" t="s">
        <v>4</v>
      </c>
    </row>
    <row r="7" spans="1:6" ht="27.95" customHeight="1" x14ac:dyDescent="0.25">
      <c r="A7" s="5" t="s">
        <v>78</v>
      </c>
      <c r="B7" s="6">
        <v>1197760229</v>
      </c>
      <c r="C7" s="6">
        <v>0</v>
      </c>
      <c r="D7" s="7">
        <v>0</v>
      </c>
      <c r="E7" s="7">
        <v>0</v>
      </c>
      <c r="F7" s="6">
        <f>B7+C7-D7+E7</f>
        <v>1197760229</v>
      </c>
    </row>
    <row r="8" spans="1:6" s="2" customFormat="1" x14ac:dyDescent="0.25">
      <c r="A8" s="5" t="s">
        <v>79</v>
      </c>
      <c r="B8" s="7">
        <v>1639087913</v>
      </c>
      <c r="C8" s="7">
        <v>0</v>
      </c>
      <c r="D8" s="7">
        <v>0</v>
      </c>
      <c r="E8" s="7">
        <v>0</v>
      </c>
      <c r="F8" s="7">
        <f t="shared" ref="F8:F65" si="0">B8+C8-D8+E8</f>
        <v>1639087913</v>
      </c>
    </row>
    <row r="9" spans="1:6" s="2" customFormat="1" x14ac:dyDescent="0.25">
      <c r="A9" s="5" t="s">
        <v>84</v>
      </c>
      <c r="B9" s="7">
        <v>322513090</v>
      </c>
      <c r="C9" s="7">
        <f>5284338</f>
        <v>5284338</v>
      </c>
      <c r="D9" s="7">
        <v>0</v>
      </c>
      <c r="E9" s="7">
        <f>-13718492.76+1942630.52</f>
        <v>-11775862.24</v>
      </c>
      <c r="F9" s="7">
        <f t="shared" si="0"/>
        <v>316021565.75999999</v>
      </c>
    </row>
    <row r="10" spans="1:6" x14ac:dyDescent="0.25">
      <c r="A10" s="5" t="s">
        <v>6</v>
      </c>
      <c r="B10" s="7">
        <v>884445259</v>
      </c>
      <c r="C10" s="7">
        <f>23038514.69+441687350.38+221900+55000</f>
        <v>465002765.06999999</v>
      </c>
      <c r="D10" s="7">
        <v>0</v>
      </c>
      <c r="E10" s="7">
        <f>-35199304.97+14959936.83</f>
        <v>-20239368.140000001</v>
      </c>
      <c r="F10" s="7">
        <f t="shared" si="0"/>
        <v>1329208655.9299998</v>
      </c>
    </row>
    <row r="11" spans="1:6" ht="23.25" x14ac:dyDescent="0.25">
      <c r="A11" s="5" t="s">
        <v>7</v>
      </c>
      <c r="B11" s="7">
        <v>2249991872</v>
      </c>
      <c r="C11" s="7">
        <f>1296342.43+201600+330371491.39+2787151.08</f>
        <v>334656584.89999998</v>
      </c>
      <c r="D11" s="7">
        <v>0</v>
      </c>
      <c r="E11" s="7">
        <f>1073200826.29-389256238.42</f>
        <v>683944587.86999989</v>
      </c>
      <c r="F11" s="7">
        <f t="shared" si="0"/>
        <v>3268593044.77</v>
      </c>
    </row>
    <row r="12" spans="1:6" ht="23.25" x14ac:dyDescent="0.25">
      <c r="A12" s="5" t="s">
        <v>8</v>
      </c>
      <c r="B12" s="7">
        <v>2145667235</v>
      </c>
      <c r="C12" s="7">
        <f>687716632.17+18257363+43371+30559088+47440912</f>
        <v>784017366.16999996</v>
      </c>
      <c r="D12" s="7">
        <v>78630067</v>
      </c>
      <c r="E12" s="7">
        <f>502279921.79-418686587.3</f>
        <v>83593334.49000001</v>
      </c>
      <c r="F12" s="7">
        <f t="shared" si="0"/>
        <v>2934647868.6599998</v>
      </c>
    </row>
    <row r="13" spans="1:6" ht="23.25" x14ac:dyDescent="0.25">
      <c r="A13" s="5" t="s">
        <v>86</v>
      </c>
      <c r="B13" s="7">
        <v>745362888</v>
      </c>
      <c r="C13" s="7">
        <v>0</v>
      </c>
      <c r="D13" s="7">
        <v>0</v>
      </c>
      <c r="E13" s="7">
        <f>-55492997.49+4059675.32</f>
        <v>-51433322.170000002</v>
      </c>
      <c r="F13" s="7">
        <f t="shared" si="0"/>
        <v>693929565.83000004</v>
      </c>
    </row>
    <row r="14" spans="1:6" x14ac:dyDescent="0.25">
      <c r="A14" s="5" t="s">
        <v>9</v>
      </c>
      <c r="B14" s="7">
        <v>233941685</v>
      </c>
      <c r="C14" s="7">
        <f>12000000</f>
        <v>12000000</v>
      </c>
      <c r="D14" s="7">
        <v>84519</v>
      </c>
      <c r="E14" s="7">
        <f>-12339713.45+619865.91</f>
        <v>-11719847.539999999</v>
      </c>
      <c r="F14" s="7">
        <f t="shared" si="0"/>
        <v>234137318.46000001</v>
      </c>
    </row>
    <row r="15" spans="1:6" x14ac:dyDescent="0.25">
      <c r="A15" s="5" t="s">
        <v>10</v>
      </c>
      <c r="B15" s="7">
        <v>262103545</v>
      </c>
      <c r="C15" s="7">
        <f>7639496.41+42200000+3692547.59</f>
        <v>53532044</v>
      </c>
      <c r="D15" s="7">
        <v>0</v>
      </c>
      <c r="E15" s="7">
        <f>-10960009.06+2212883.93</f>
        <v>-8747125.1300000008</v>
      </c>
      <c r="F15" s="7">
        <f t="shared" si="0"/>
        <v>306888463.87</v>
      </c>
    </row>
    <row r="16" spans="1:6" x14ac:dyDescent="0.25">
      <c r="A16" s="5" t="s">
        <v>11</v>
      </c>
      <c r="B16" s="7">
        <v>28076899181</v>
      </c>
      <c r="C16" s="7">
        <f>6112706220.67+29904262.2+400000</f>
        <v>6143010482.8699999</v>
      </c>
      <c r="D16" s="7">
        <v>0</v>
      </c>
      <c r="E16" s="7">
        <f>-1674907326.08+118489065.61</f>
        <v>-1556418260.47</v>
      </c>
      <c r="F16" s="7">
        <f t="shared" si="0"/>
        <v>32663491403.399998</v>
      </c>
    </row>
    <row r="17" spans="1:7" ht="14.25" customHeight="1" x14ac:dyDescent="0.25">
      <c r="A17" s="5" t="s">
        <v>12</v>
      </c>
      <c r="B17" s="7">
        <v>45659852</v>
      </c>
      <c r="C17" s="7">
        <v>0</v>
      </c>
      <c r="D17" s="7">
        <v>0</v>
      </c>
      <c r="E17" s="7">
        <f>-5131770.94+800557.4</f>
        <v>-4331213.54</v>
      </c>
      <c r="F17" s="7">
        <f t="shared" si="0"/>
        <v>41328638.460000001</v>
      </c>
    </row>
    <row r="18" spans="1:7" x14ac:dyDescent="0.25">
      <c r="A18" s="5" t="s">
        <v>13</v>
      </c>
      <c r="B18" s="7">
        <v>3931081050</v>
      </c>
      <c r="C18" s="7">
        <f>126557505.36</f>
        <v>126557505.36</v>
      </c>
      <c r="D18" s="7">
        <v>0</v>
      </c>
      <c r="E18" s="7">
        <f>-306243383.1+5840002.16</f>
        <v>-300403380.94</v>
      </c>
      <c r="F18" s="7">
        <f t="shared" si="0"/>
        <v>3757235174.4200001</v>
      </c>
    </row>
    <row r="19" spans="1:7" x14ac:dyDescent="0.25">
      <c r="A19" s="5" t="s">
        <v>83</v>
      </c>
      <c r="B19" s="7">
        <v>9941451813</v>
      </c>
      <c r="C19" s="7">
        <f>672567963.47+111680649.02</f>
        <v>784248612.49000001</v>
      </c>
      <c r="D19" s="7">
        <v>0</v>
      </c>
      <c r="E19" s="7">
        <v>-68000000</v>
      </c>
      <c r="F19" s="7">
        <f t="shared" si="0"/>
        <v>10657700425.49</v>
      </c>
    </row>
    <row r="20" spans="1:7" x14ac:dyDescent="0.25">
      <c r="A20" s="5" t="s">
        <v>14</v>
      </c>
      <c r="B20" s="7">
        <v>163599595</v>
      </c>
      <c r="C20" s="7">
        <v>0</v>
      </c>
      <c r="D20" s="7">
        <v>0</v>
      </c>
      <c r="E20" s="7">
        <f>-4957049.19+807531.63</f>
        <v>-4149517.5600000005</v>
      </c>
      <c r="F20" s="7">
        <f t="shared" si="0"/>
        <v>159450077.44</v>
      </c>
    </row>
    <row r="21" spans="1:7" x14ac:dyDescent="0.25">
      <c r="A21" s="5" t="s">
        <v>80</v>
      </c>
      <c r="B21" s="7">
        <v>296862977</v>
      </c>
      <c r="C21" s="7">
        <f>37351000</f>
        <v>37351000</v>
      </c>
      <c r="D21" s="7">
        <v>0</v>
      </c>
      <c r="E21" s="7">
        <f>-38914189.41+26636902.88</f>
        <v>-12277286.529999997</v>
      </c>
      <c r="F21" s="7">
        <f t="shared" si="0"/>
        <v>321936690.47000003</v>
      </c>
    </row>
    <row r="22" spans="1:7" x14ac:dyDescent="0.25">
      <c r="A22" s="5" t="s">
        <v>15</v>
      </c>
      <c r="B22" s="7">
        <v>241766319</v>
      </c>
      <c r="C22" s="7">
        <f>4099963.94+19449739.04</f>
        <v>23549702.98</v>
      </c>
      <c r="D22" s="7">
        <v>0</v>
      </c>
      <c r="E22" s="7">
        <f>-6357746.91+5300138.43</f>
        <v>-1057608.4800000004</v>
      </c>
      <c r="F22" s="7">
        <f t="shared" si="0"/>
        <v>264258413.5</v>
      </c>
    </row>
    <row r="23" spans="1:7" x14ac:dyDescent="0.25">
      <c r="A23" s="5" t="s">
        <v>16</v>
      </c>
      <c r="B23" s="7">
        <v>1449681054</v>
      </c>
      <c r="C23" s="7">
        <f>31140.85+98740610</f>
        <v>98771750.849999994</v>
      </c>
      <c r="D23" s="7">
        <v>38962700</v>
      </c>
      <c r="E23" s="7">
        <v>-42513645.340000004</v>
      </c>
      <c r="F23" s="7">
        <f t="shared" si="0"/>
        <v>1466976459.51</v>
      </c>
    </row>
    <row r="24" spans="1:7" ht="23.25" x14ac:dyDescent="0.25">
      <c r="A24" s="5" t="s">
        <v>17</v>
      </c>
      <c r="B24" s="7">
        <v>17011173230</v>
      </c>
      <c r="C24" s="7">
        <f>552047138.99+2104669.68+623993.9</f>
        <v>554775802.56999993</v>
      </c>
      <c r="D24" s="7">
        <v>98224241.280000001</v>
      </c>
      <c r="E24" s="7">
        <v>-595982517.05999994</v>
      </c>
      <c r="F24" s="7">
        <f t="shared" si="0"/>
        <v>16871742274.230001</v>
      </c>
    </row>
    <row r="25" spans="1:7" ht="20.45" customHeight="1" x14ac:dyDescent="0.25">
      <c r="A25" s="5" t="s">
        <v>59</v>
      </c>
      <c r="B25" s="7">
        <v>200000000</v>
      </c>
      <c r="C25" s="7">
        <f>268144086.06+1925694.81+1419364565.3+6840123.87</f>
        <v>1696274470.04</v>
      </c>
      <c r="D25" s="7">
        <f>2491998144.53+2424429399.92</f>
        <v>4916427544.4500008</v>
      </c>
      <c r="E25" s="7">
        <f>4513012775.78-1399875618.27</f>
        <v>3113137157.5099998</v>
      </c>
      <c r="F25" s="7">
        <f t="shared" si="0"/>
        <v>92984083.099998951</v>
      </c>
    </row>
    <row r="26" spans="1:7" ht="23.25" x14ac:dyDescent="0.25">
      <c r="A26" s="5" t="s">
        <v>18</v>
      </c>
      <c r="B26" s="7">
        <v>4069924998</v>
      </c>
      <c r="C26" s="7">
        <f>8467012.7+64374883.59+4187600</f>
        <v>77029496.290000007</v>
      </c>
      <c r="D26" s="7">
        <v>0</v>
      </c>
      <c r="E26" s="7">
        <f>-2292199822.1+812996447.38</f>
        <v>-1479203374.7199998</v>
      </c>
      <c r="F26" s="7">
        <f t="shared" si="0"/>
        <v>2667751119.5700002</v>
      </c>
    </row>
    <row r="27" spans="1:7" x14ac:dyDescent="0.25">
      <c r="A27" s="5" t="s">
        <v>19</v>
      </c>
      <c r="B27" s="7">
        <v>63241634</v>
      </c>
      <c r="C27" s="7">
        <f>2420000</f>
        <v>2420000</v>
      </c>
      <c r="D27" s="7">
        <v>0</v>
      </c>
      <c r="E27" s="7">
        <f>1528009.74-53769.15</f>
        <v>1474240.59</v>
      </c>
      <c r="F27" s="7">
        <f t="shared" si="0"/>
        <v>67135874.590000004</v>
      </c>
    </row>
    <row r="28" spans="1:7" ht="23.25" x14ac:dyDescent="0.25">
      <c r="A28" s="5" t="s">
        <v>20</v>
      </c>
      <c r="B28" s="7">
        <v>1147807986</v>
      </c>
      <c r="C28" s="7">
        <f>62263401.37+37097874+38668087</f>
        <v>138029362.37</v>
      </c>
      <c r="D28" s="7">
        <v>0</v>
      </c>
      <c r="E28" s="7">
        <f>-10158774.27+171610.15</f>
        <v>-9987164.1199999992</v>
      </c>
      <c r="F28" s="7">
        <f t="shared" si="0"/>
        <v>1275850184.25</v>
      </c>
      <c r="G28" s="3"/>
    </row>
    <row r="29" spans="1:7" ht="22.5" x14ac:dyDescent="0.25">
      <c r="A29" s="8" t="s">
        <v>21</v>
      </c>
      <c r="B29" s="7">
        <v>70492061</v>
      </c>
      <c r="C29" s="7">
        <f>29000000+13823832.19</f>
        <v>42823832.189999998</v>
      </c>
      <c r="D29" s="7">
        <v>0</v>
      </c>
      <c r="E29" s="7">
        <f>3267611.72-1508961.96</f>
        <v>1758649.7600000002</v>
      </c>
      <c r="F29" s="7">
        <f t="shared" si="0"/>
        <v>115074542.95</v>
      </c>
    </row>
    <row r="30" spans="1:7" ht="22.5" x14ac:dyDescent="0.25">
      <c r="A30" s="8" t="s">
        <v>22</v>
      </c>
      <c r="B30" s="7">
        <v>100692813</v>
      </c>
      <c r="C30" s="7">
        <f>127200.17</f>
        <v>127200.17</v>
      </c>
      <c r="D30" s="7">
        <v>0</v>
      </c>
      <c r="E30" s="7">
        <f>6405047.18-1084227.91</f>
        <v>5320819.2699999996</v>
      </c>
      <c r="F30" s="7">
        <f t="shared" si="0"/>
        <v>106140832.44</v>
      </c>
    </row>
    <row r="31" spans="1:7" x14ac:dyDescent="0.25">
      <c r="A31" s="8" t="s">
        <v>23</v>
      </c>
      <c r="B31" s="7">
        <v>28622735</v>
      </c>
      <c r="C31" s="7">
        <v>0</v>
      </c>
      <c r="D31" s="7">
        <v>0</v>
      </c>
      <c r="E31" s="7">
        <f>816244.93-156822.91</f>
        <v>659422.02</v>
      </c>
      <c r="F31" s="7">
        <f t="shared" si="0"/>
        <v>29282157.02</v>
      </c>
    </row>
    <row r="32" spans="1:7" x14ac:dyDescent="0.25">
      <c r="A32" s="8" t="s">
        <v>24</v>
      </c>
      <c r="B32" s="7">
        <v>51637595</v>
      </c>
      <c r="C32" s="7">
        <f>215176.78</f>
        <v>215176.78</v>
      </c>
      <c r="D32" s="7">
        <v>0</v>
      </c>
      <c r="E32" s="7">
        <f>2831740.46-1113947.31</f>
        <v>1717793.15</v>
      </c>
      <c r="F32" s="7">
        <f t="shared" si="0"/>
        <v>53570564.93</v>
      </c>
    </row>
    <row r="33" spans="1:7" ht="22.5" x14ac:dyDescent="0.25">
      <c r="A33" s="8" t="s">
        <v>25</v>
      </c>
      <c r="B33" s="7">
        <v>3579973067</v>
      </c>
      <c r="C33" s="7">
        <f>249752278.4+216194384.9</f>
        <v>465946663.30000001</v>
      </c>
      <c r="D33" s="7">
        <v>6624794</v>
      </c>
      <c r="E33" s="7">
        <v>0</v>
      </c>
      <c r="F33" s="7">
        <f t="shared" si="0"/>
        <v>4039294936.3000002</v>
      </c>
    </row>
    <row r="34" spans="1:7" ht="22.5" x14ac:dyDescent="0.25">
      <c r="A34" s="8" t="s">
        <v>26</v>
      </c>
      <c r="B34" s="7">
        <v>1183632940</v>
      </c>
      <c r="C34" s="7">
        <f>20298059.16</f>
        <v>20298059.16</v>
      </c>
      <c r="D34" s="7">
        <v>0</v>
      </c>
      <c r="E34" s="7">
        <f>-84591798.43+6620548.12</f>
        <v>-77971250.310000002</v>
      </c>
      <c r="F34" s="7">
        <f t="shared" si="0"/>
        <v>1125959748.8500001</v>
      </c>
    </row>
    <row r="35" spans="1:7" x14ac:dyDescent="0.25">
      <c r="A35" s="8" t="s">
        <v>27</v>
      </c>
      <c r="B35" s="7">
        <v>471424024</v>
      </c>
      <c r="C35" s="7">
        <v>0</v>
      </c>
      <c r="D35" s="7">
        <v>0</v>
      </c>
      <c r="E35" s="7">
        <v>0</v>
      </c>
      <c r="F35" s="7">
        <f t="shared" si="0"/>
        <v>471424024</v>
      </c>
    </row>
    <row r="36" spans="1:7" ht="22.5" x14ac:dyDescent="0.25">
      <c r="A36" s="8" t="s">
        <v>28</v>
      </c>
      <c r="B36" s="7">
        <v>102945448</v>
      </c>
      <c r="C36" s="7">
        <f>3759958.98</f>
        <v>3759958.98</v>
      </c>
      <c r="D36" s="7">
        <v>0</v>
      </c>
      <c r="E36" s="7">
        <v>-6300.3</v>
      </c>
      <c r="F36" s="7">
        <f t="shared" si="0"/>
        <v>106699106.68000001</v>
      </c>
    </row>
    <row r="37" spans="1:7" ht="22.5" x14ac:dyDescent="0.25">
      <c r="A37" s="8" t="s">
        <v>29</v>
      </c>
      <c r="B37" s="7">
        <v>130141193</v>
      </c>
      <c r="C37" s="7">
        <v>0</v>
      </c>
      <c r="D37" s="7">
        <v>0</v>
      </c>
      <c r="E37" s="7">
        <v>-10</v>
      </c>
      <c r="F37" s="7">
        <f t="shared" si="0"/>
        <v>130141183</v>
      </c>
    </row>
    <row r="38" spans="1:7" ht="22.5" x14ac:dyDescent="0.25">
      <c r="A38" s="8" t="s">
        <v>30</v>
      </c>
      <c r="B38" s="7">
        <v>22756068</v>
      </c>
      <c r="C38" s="7">
        <f>1734861.4</f>
        <v>1734861.4</v>
      </c>
      <c r="D38" s="7">
        <v>0</v>
      </c>
      <c r="E38" s="7">
        <f>2039248-19.5</f>
        <v>2039228.5</v>
      </c>
      <c r="F38" s="7">
        <f t="shared" si="0"/>
        <v>26530157.899999999</v>
      </c>
    </row>
    <row r="39" spans="1:7" ht="33.75" x14ac:dyDescent="0.25">
      <c r="A39" s="8" t="s">
        <v>67</v>
      </c>
      <c r="B39" s="7">
        <v>16130121</v>
      </c>
      <c r="C39" s="7">
        <v>0</v>
      </c>
      <c r="D39" s="7">
        <v>0</v>
      </c>
      <c r="E39" s="7">
        <f>-1641293.29+179148.25</f>
        <v>-1462145.04</v>
      </c>
      <c r="F39" s="7">
        <f t="shared" si="0"/>
        <v>14667975.960000001</v>
      </c>
    </row>
    <row r="40" spans="1:7" x14ac:dyDescent="0.25">
      <c r="A40" s="8" t="s">
        <v>31</v>
      </c>
      <c r="B40" s="7">
        <v>201225662</v>
      </c>
      <c r="C40" s="7">
        <f>18606642.43</f>
        <v>18606642.43</v>
      </c>
      <c r="D40" s="7">
        <v>0</v>
      </c>
      <c r="E40" s="7">
        <v>0</v>
      </c>
      <c r="F40" s="7">
        <f t="shared" si="0"/>
        <v>219832304.43000001</v>
      </c>
    </row>
    <row r="41" spans="1:7" ht="22.5" x14ac:dyDescent="0.25">
      <c r="A41" s="8" t="s">
        <v>32</v>
      </c>
      <c r="B41" s="7">
        <v>44039276</v>
      </c>
      <c r="C41" s="7">
        <v>0</v>
      </c>
      <c r="D41" s="7">
        <v>0</v>
      </c>
      <c r="E41" s="7">
        <f>784725.38-48816.53</f>
        <v>735908.85</v>
      </c>
      <c r="F41" s="7">
        <f t="shared" si="0"/>
        <v>44775184.850000001</v>
      </c>
    </row>
    <row r="42" spans="1:7" x14ac:dyDescent="0.25">
      <c r="A42" s="8" t="s">
        <v>33</v>
      </c>
      <c r="B42" s="7">
        <v>145845054</v>
      </c>
      <c r="C42" s="7">
        <f>1896000+21223696.11</f>
        <v>23119696.109999999</v>
      </c>
      <c r="D42" s="7">
        <v>0</v>
      </c>
      <c r="E42" s="7">
        <f>13920400.44-2023632.26</f>
        <v>11896768.18</v>
      </c>
      <c r="F42" s="7">
        <f t="shared" si="0"/>
        <v>180861518.29000002</v>
      </c>
    </row>
    <row r="43" spans="1:7" ht="22.5" x14ac:dyDescent="0.25">
      <c r="A43" s="8" t="s">
        <v>34</v>
      </c>
      <c r="B43" s="7">
        <v>76807336</v>
      </c>
      <c r="C43" s="7">
        <v>11432554</v>
      </c>
      <c r="D43" s="7">
        <v>0</v>
      </c>
      <c r="E43" s="7">
        <f>1955955.99-1196845.92</f>
        <v>759110.07000000007</v>
      </c>
      <c r="F43" s="7">
        <f t="shared" si="0"/>
        <v>88999000.069999993</v>
      </c>
    </row>
    <row r="44" spans="1:7" ht="22.5" x14ac:dyDescent="0.25">
      <c r="A44" s="8" t="s">
        <v>35</v>
      </c>
      <c r="B44" s="7">
        <v>1423581374</v>
      </c>
      <c r="C44" s="7">
        <f>59345332.5+59345332.5</f>
        <v>118690665</v>
      </c>
      <c r="D44" s="7">
        <v>4959227</v>
      </c>
      <c r="E44" s="7">
        <v>-4959227</v>
      </c>
      <c r="F44" s="7">
        <f t="shared" si="0"/>
        <v>1532353585</v>
      </c>
    </row>
    <row r="45" spans="1:7" ht="22.5" x14ac:dyDescent="0.25">
      <c r="A45" s="8" t="s">
        <v>36</v>
      </c>
      <c r="B45" s="7">
        <v>383465550</v>
      </c>
      <c r="C45" s="7">
        <f>18029585.81+6000000</f>
        <v>24029585.809999999</v>
      </c>
      <c r="D45" s="7">
        <v>0</v>
      </c>
      <c r="E45" s="7">
        <v>0</v>
      </c>
      <c r="F45" s="7">
        <f t="shared" si="0"/>
        <v>407495135.81</v>
      </c>
    </row>
    <row r="46" spans="1:7" x14ac:dyDescent="0.25">
      <c r="A46" s="8" t="s">
        <v>37</v>
      </c>
      <c r="B46" s="7">
        <v>85784201</v>
      </c>
      <c r="C46" s="7">
        <f>5802147.93+10929903.93</f>
        <v>16732051.859999999</v>
      </c>
      <c r="D46" s="7">
        <v>0</v>
      </c>
      <c r="E46" s="7">
        <f>2745131.19</f>
        <v>2745131.19</v>
      </c>
      <c r="F46" s="7">
        <f t="shared" si="0"/>
        <v>105261384.05</v>
      </c>
    </row>
    <row r="47" spans="1:7" ht="33.75" x14ac:dyDescent="0.25">
      <c r="A47" s="8" t="s">
        <v>38</v>
      </c>
      <c r="B47" s="7">
        <v>1049441896</v>
      </c>
      <c r="C47" s="7">
        <f>41680547+149597149.32</f>
        <v>191277696.31999999</v>
      </c>
      <c r="D47" s="7">
        <v>3904619</v>
      </c>
      <c r="E47" s="7">
        <v>0</v>
      </c>
      <c r="F47" s="7">
        <f t="shared" si="0"/>
        <v>1236814973.3199999</v>
      </c>
    </row>
    <row r="48" spans="1:7" ht="22.5" x14ac:dyDescent="0.25">
      <c r="A48" s="8" t="s">
        <v>39</v>
      </c>
      <c r="B48" s="7">
        <v>242069835</v>
      </c>
      <c r="C48" s="7">
        <f>16759748.2+64383657.37</f>
        <v>81143405.569999993</v>
      </c>
      <c r="D48" s="7">
        <v>0</v>
      </c>
      <c r="E48" s="7">
        <v>0</v>
      </c>
      <c r="F48" s="7">
        <f t="shared" si="0"/>
        <v>323213240.56999999</v>
      </c>
      <c r="G48" s="3"/>
    </row>
    <row r="49" spans="1:6" ht="22.5" x14ac:dyDescent="0.25">
      <c r="A49" s="8" t="s">
        <v>40</v>
      </c>
      <c r="B49" s="7">
        <v>92442848</v>
      </c>
      <c r="C49" s="7">
        <f>2395535</f>
        <v>2395535</v>
      </c>
      <c r="D49" s="7">
        <v>4816919</v>
      </c>
      <c r="E49" s="7">
        <v>-2466519</v>
      </c>
      <c r="F49" s="7">
        <f t="shared" si="0"/>
        <v>87554945</v>
      </c>
    </row>
    <row r="50" spans="1:6" ht="33.75" x14ac:dyDescent="0.25">
      <c r="A50" s="8" t="s">
        <v>41</v>
      </c>
      <c r="B50" s="7">
        <v>28293606</v>
      </c>
      <c r="C50" s="7">
        <v>0</v>
      </c>
      <c r="D50" s="7">
        <v>0</v>
      </c>
      <c r="E50" s="7">
        <f>-1626920.05+41500.42</f>
        <v>-1585419.6300000001</v>
      </c>
      <c r="F50" s="7">
        <f t="shared" si="0"/>
        <v>26708186.370000001</v>
      </c>
    </row>
    <row r="51" spans="1:6" ht="22.5" x14ac:dyDescent="0.25">
      <c r="A51" s="8" t="s">
        <v>42</v>
      </c>
      <c r="B51" s="7">
        <v>53166049</v>
      </c>
      <c r="C51" s="7">
        <f>10206379+7065344.14</f>
        <v>17271723.140000001</v>
      </c>
      <c r="D51" s="7">
        <v>2175736</v>
      </c>
      <c r="E51" s="7">
        <f>27614458</f>
        <v>27614458</v>
      </c>
      <c r="F51" s="7">
        <f t="shared" si="0"/>
        <v>95876494.140000001</v>
      </c>
    </row>
    <row r="52" spans="1:6" x14ac:dyDescent="0.25">
      <c r="A52" s="8" t="s">
        <v>68</v>
      </c>
      <c r="B52" s="7">
        <v>23617832</v>
      </c>
      <c r="C52" s="7">
        <v>0</v>
      </c>
      <c r="D52" s="7">
        <v>0</v>
      </c>
      <c r="E52" s="7">
        <f>1554850.77-449227.51</f>
        <v>1105623.26</v>
      </c>
      <c r="F52" s="7">
        <f t="shared" si="0"/>
        <v>24723455.260000002</v>
      </c>
    </row>
    <row r="53" spans="1:6" ht="22.5" x14ac:dyDescent="0.25">
      <c r="A53" s="8" t="s">
        <v>43</v>
      </c>
      <c r="B53" s="7">
        <v>5443953</v>
      </c>
      <c r="C53" s="7">
        <v>0</v>
      </c>
      <c r="D53" s="7">
        <v>0</v>
      </c>
      <c r="E53" s="7">
        <v>-45991</v>
      </c>
      <c r="F53" s="7">
        <f t="shared" si="0"/>
        <v>5397962</v>
      </c>
    </row>
    <row r="54" spans="1:6" ht="24.6" customHeight="1" x14ac:dyDescent="0.25">
      <c r="A54" s="8" t="s">
        <v>69</v>
      </c>
      <c r="B54" s="7">
        <v>72688791</v>
      </c>
      <c r="C54" s="7">
        <f>3701303.62</f>
        <v>3701303.62</v>
      </c>
      <c r="D54" s="7">
        <v>0</v>
      </c>
      <c r="E54" s="7">
        <f>2848204.5-1234047.68</f>
        <v>1614156.82</v>
      </c>
      <c r="F54" s="7">
        <f t="shared" si="0"/>
        <v>78004251.439999998</v>
      </c>
    </row>
    <row r="55" spans="1:6" ht="22.5" x14ac:dyDescent="0.25">
      <c r="A55" s="8" t="s">
        <v>62</v>
      </c>
      <c r="B55" s="7">
        <v>63802931</v>
      </c>
      <c r="C55" s="7">
        <f>3256525.19</f>
        <v>3256525.19</v>
      </c>
      <c r="D55" s="7">
        <v>0</v>
      </c>
      <c r="E55" s="7">
        <f>3330773.82-1084840.13</f>
        <v>2245933.69</v>
      </c>
      <c r="F55" s="7">
        <f t="shared" si="0"/>
        <v>69305389.879999995</v>
      </c>
    </row>
    <row r="56" spans="1:6" ht="22.5" x14ac:dyDescent="0.25">
      <c r="A56" s="8" t="s">
        <v>70</v>
      </c>
      <c r="B56" s="7">
        <v>12188554</v>
      </c>
      <c r="C56" s="7">
        <v>0</v>
      </c>
      <c r="D56" s="7">
        <v>0</v>
      </c>
      <c r="E56" s="7">
        <f>795915.54-665533.22</f>
        <v>130382.32000000007</v>
      </c>
      <c r="F56" s="7">
        <f t="shared" si="0"/>
        <v>12318936.32</v>
      </c>
    </row>
    <row r="57" spans="1:6" ht="22.5" x14ac:dyDescent="0.25">
      <c r="A57" s="8" t="s">
        <v>75</v>
      </c>
      <c r="B57" s="7">
        <v>111573671</v>
      </c>
      <c r="C57" s="7">
        <v>0</v>
      </c>
      <c r="D57" s="7">
        <v>0</v>
      </c>
      <c r="E57" s="7">
        <f>1605406.83-8399151.01</f>
        <v>-6793744.1799999997</v>
      </c>
      <c r="F57" s="7">
        <f t="shared" si="0"/>
        <v>104779926.81999999</v>
      </c>
    </row>
    <row r="58" spans="1:6" ht="22.5" x14ac:dyDescent="0.25">
      <c r="A58" s="8" t="s">
        <v>71</v>
      </c>
      <c r="B58" s="7">
        <v>27820598</v>
      </c>
      <c r="C58" s="7">
        <v>0</v>
      </c>
      <c r="D58" s="7">
        <v>0</v>
      </c>
      <c r="E58" s="7">
        <f>813195.59-876527.55</f>
        <v>-63331.960000000079</v>
      </c>
      <c r="F58" s="7">
        <f t="shared" si="0"/>
        <v>27757266.039999999</v>
      </c>
    </row>
    <row r="59" spans="1:6" ht="45" x14ac:dyDescent="0.25">
      <c r="A59" s="8" t="s">
        <v>44</v>
      </c>
      <c r="B59" s="7">
        <v>46010642</v>
      </c>
      <c r="C59" s="7">
        <f>376024.83</f>
        <v>376024.83</v>
      </c>
      <c r="D59" s="7">
        <v>0</v>
      </c>
      <c r="E59" s="7">
        <v>0</v>
      </c>
      <c r="F59" s="7">
        <f t="shared" si="0"/>
        <v>46386666.829999998</v>
      </c>
    </row>
    <row r="60" spans="1:6" ht="22.5" x14ac:dyDescent="0.25">
      <c r="A60" s="8" t="s">
        <v>65</v>
      </c>
      <c r="B60" s="7">
        <v>65424180</v>
      </c>
      <c r="C60" s="7">
        <f>5540984</f>
        <v>5540984</v>
      </c>
      <c r="D60" s="7">
        <v>0</v>
      </c>
      <c r="E60" s="7">
        <f>4225658.24-375380.95</f>
        <v>3850277.29</v>
      </c>
      <c r="F60" s="7">
        <f t="shared" si="0"/>
        <v>74815441.290000007</v>
      </c>
    </row>
    <row r="61" spans="1:6" ht="22.5" x14ac:dyDescent="0.25">
      <c r="A61" s="8" t="s">
        <v>45</v>
      </c>
      <c r="B61" s="7">
        <v>424441547</v>
      </c>
      <c r="C61" s="7">
        <f>69611119+65987108.1+34805559.5+114559088</f>
        <v>284962874.60000002</v>
      </c>
      <c r="D61" s="7">
        <f>7033684.62+7139831.43</f>
        <v>14173516.050000001</v>
      </c>
      <c r="E61" s="7">
        <f>205997535.94-3026947.73</f>
        <v>202970588.21000001</v>
      </c>
      <c r="F61" s="7">
        <f t="shared" si="0"/>
        <v>898201493.76000011</v>
      </c>
    </row>
    <row r="62" spans="1:6" ht="22.5" x14ac:dyDescent="0.25">
      <c r="A62" s="8" t="s">
        <v>46</v>
      </c>
      <c r="B62" s="7">
        <v>28799155</v>
      </c>
      <c r="C62" s="7">
        <v>0</v>
      </c>
      <c r="D62" s="7">
        <v>0</v>
      </c>
      <c r="E62" s="7">
        <f>434904-417766.77</f>
        <v>17137.229999999981</v>
      </c>
      <c r="F62" s="7">
        <f t="shared" si="0"/>
        <v>28816292.23</v>
      </c>
    </row>
    <row r="63" spans="1:6" ht="22.5" x14ac:dyDescent="0.25">
      <c r="A63" s="8" t="s">
        <v>47</v>
      </c>
      <c r="B63" s="7">
        <v>11013842</v>
      </c>
      <c r="C63" s="7">
        <f>5256319.95+6848349.57</f>
        <v>12104669.52</v>
      </c>
      <c r="D63" s="7">
        <v>160396</v>
      </c>
      <c r="E63" s="7">
        <v>0</v>
      </c>
      <c r="F63" s="7">
        <f t="shared" si="0"/>
        <v>22958115.52</v>
      </c>
    </row>
    <row r="64" spans="1:6" ht="22.5" x14ac:dyDescent="0.25">
      <c r="A64" s="8" t="s">
        <v>60</v>
      </c>
      <c r="B64" s="7">
        <v>12687090</v>
      </c>
      <c r="C64" s="7">
        <f>1692239.96+7833173.05</f>
        <v>9525413.0099999998</v>
      </c>
      <c r="D64" s="7">
        <v>723299.72</v>
      </c>
      <c r="E64" s="7">
        <v>-723299.72</v>
      </c>
      <c r="F64" s="7">
        <f t="shared" si="0"/>
        <v>20765903.57</v>
      </c>
    </row>
    <row r="65" spans="1:7" ht="22.5" x14ac:dyDescent="0.25">
      <c r="A65" s="8" t="s">
        <v>48</v>
      </c>
      <c r="B65" s="7">
        <v>112014242</v>
      </c>
      <c r="C65" s="7">
        <v>0</v>
      </c>
      <c r="D65" s="7">
        <v>0</v>
      </c>
      <c r="E65" s="7">
        <f>32535741.5-6316511.11</f>
        <v>26219230.390000001</v>
      </c>
      <c r="F65" s="7">
        <f t="shared" si="0"/>
        <v>138233472.38999999</v>
      </c>
      <c r="G65" s="3"/>
    </row>
    <row r="66" spans="1:7" ht="45" x14ac:dyDescent="0.25">
      <c r="A66" s="10" t="s">
        <v>76</v>
      </c>
      <c r="B66" s="7">
        <v>43378064</v>
      </c>
      <c r="C66" s="7">
        <v>0</v>
      </c>
      <c r="D66" s="7">
        <v>0</v>
      </c>
      <c r="E66" s="7">
        <f>2182682.53-3940836.13</f>
        <v>-1758153.6</v>
      </c>
      <c r="F66" s="7">
        <f t="shared" ref="F66:F86" si="1">B66+C66-D66+E66</f>
        <v>41619910.399999999</v>
      </c>
    </row>
    <row r="67" spans="1:7" ht="22.5" x14ac:dyDescent="0.25">
      <c r="A67" s="8" t="s">
        <v>49</v>
      </c>
      <c r="B67" s="7">
        <v>62366367</v>
      </c>
      <c r="C67" s="7">
        <f>1950922.96+6500000</f>
        <v>8450922.9600000009</v>
      </c>
      <c r="D67" s="7">
        <v>0</v>
      </c>
      <c r="E67" s="7">
        <f>16040226.44-9772160.61</f>
        <v>6268065.8300000001</v>
      </c>
      <c r="F67" s="7">
        <f t="shared" si="1"/>
        <v>77085355.790000007</v>
      </c>
    </row>
    <row r="68" spans="1:7" ht="33.75" x14ac:dyDescent="0.25">
      <c r="A68" s="8" t="s">
        <v>72</v>
      </c>
      <c r="B68" s="7">
        <v>30544690</v>
      </c>
      <c r="C68" s="7">
        <v>0</v>
      </c>
      <c r="D68" s="7">
        <v>0</v>
      </c>
      <c r="E68" s="7">
        <f>38887.24-653370.48</f>
        <v>-614483.24</v>
      </c>
      <c r="F68" s="7">
        <f t="shared" si="1"/>
        <v>29930206.760000002</v>
      </c>
    </row>
    <row r="69" spans="1:7" ht="22.5" x14ac:dyDescent="0.25">
      <c r="A69" s="8" t="s">
        <v>50</v>
      </c>
      <c r="B69" s="7">
        <v>73972601</v>
      </c>
      <c r="C69" s="7">
        <f>26000000</f>
        <v>26000000</v>
      </c>
      <c r="D69" s="7">
        <v>0</v>
      </c>
      <c r="E69" s="7">
        <f>993939.69-3073947.12</f>
        <v>-2080007.4300000002</v>
      </c>
      <c r="F69" s="7">
        <f t="shared" si="1"/>
        <v>97892593.569999993</v>
      </c>
    </row>
    <row r="70" spans="1:7" x14ac:dyDescent="0.25">
      <c r="A70" s="8" t="s">
        <v>58</v>
      </c>
      <c r="B70" s="7">
        <v>37668278</v>
      </c>
      <c r="C70" s="7">
        <f>2910615.19</f>
        <v>2910615.19</v>
      </c>
      <c r="D70" s="7">
        <v>0</v>
      </c>
      <c r="E70" s="7">
        <f>1409851.15-1457307.6</f>
        <v>-47456.450000000186</v>
      </c>
      <c r="F70" s="7">
        <f t="shared" si="1"/>
        <v>40531436.739999995</v>
      </c>
    </row>
    <row r="71" spans="1:7" ht="33.75" x14ac:dyDescent="0.25">
      <c r="A71" s="8" t="s">
        <v>51</v>
      </c>
      <c r="B71" s="7">
        <v>64839558</v>
      </c>
      <c r="C71" s="7">
        <f>41175032.52</f>
        <v>41175032.520000003</v>
      </c>
      <c r="D71" s="7">
        <v>0</v>
      </c>
      <c r="E71" s="7">
        <f>3025767.39-14629180.77</f>
        <v>-11603413.379999999</v>
      </c>
      <c r="F71" s="7">
        <f t="shared" si="1"/>
        <v>94411177.140000015</v>
      </c>
    </row>
    <row r="72" spans="1:7" ht="33.75" x14ac:dyDescent="0.25">
      <c r="A72" s="8" t="s">
        <v>73</v>
      </c>
      <c r="B72" s="7">
        <v>13818428</v>
      </c>
      <c r="C72" s="7">
        <f>44607564+1150000</f>
        <v>45757564</v>
      </c>
      <c r="D72" s="7">
        <v>0</v>
      </c>
      <c r="E72" s="7">
        <f>3311074.67-2140637.1</f>
        <v>1170437.5699999998</v>
      </c>
      <c r="F72" s="7">
        <f t="shared" si="1"/>
        <v>60746429.57</v>
      </c>
    </row>
    <row r="73" spans="1:7" ht="45" x14ac:dyDescent="0.25">
      <c r="A73" s="10" t="s">
        <v>57</v>
      </c>
      <c r="B73" s="7">
        <v>10016748</v>
      </c>
      <c r="C73" s="7">
        <v>0</v>
      </c>
      <c r="D73" s="7">
        <v>0</v>
      </c>
      <c r="E73" s="7">
        <f>1586289.47-2298292.24</f>
        <v>-712002.77000000025</v>
      </c>
      <c r="F73" s="7">
        <f t="shared" si="1"/>
        <v>9304745.2300000004</v>
      </c>
    </row>
    <row r="74" spans="1:7" ht="33.75" x14ac:dyDescent="0.25">
      <c r="A74" s="10" t="s">
        <v>52</v>
      </c>
      <c r="B74" s="7">
        <v>11891153</v>
      </c>
      <c r="C74" s="7">
        <v>0</v>
      </c>
      <c r="D74" s="7">
        <v>0</v>
      </c>
      <c r="E74" s="7">
        <f>2459202.16-28408.56</f>
        <v>2430793.6</v>
      </c>
      <c r="F74" s="7">
        <f t="shared" si="1"/>
        <v>14321946.6</v>
      </c>
    </row>
    <row r="75" spans="1:7" ht="33.75" x14ac:dyDescent="0.25">
      <c r="A75" s="10" t="s">
        <v>56</v>
      </c>
      <c r="B75" s="7">
        <v>1492422526</v>
      </c>
      <c r="C75" s="7">
        <f>88779037.15</f>
        <v>88779037.150000006</v>
      </c>
      <c r="D75" s="7">
        <v>0</v>
      </c>
      <c r="E75" s="7">
        <f>8445842.05-57407961.47</f>
        <v>-48962119.420000002</v>
      </c>
      <c r="F75" s="7">
        <f t="shared" si="1"/>
        <v>1532239443.73</v>
      </c>
    </row>
    <row r="76" spans="1:7" ht="22.5" x14ac:dyDescent="0.25">
      <c r="A76" s="10" t="s">
        <v>74</v>
      </c>
      <c r="B76" s="7">
        <v>10107366</v>
      </c>
      <c r="C76" s="7">
        <f>6138023.23+3138023.23</f>
        <v>9276046.4600000009</v>
      </c>
      <c r="D76" s="7">
        <v>0</v>
      </c>
      <c r="E76" s="7">
        <f>-88941</f>
        <v>-88941</v>
      </c>
      <c r="F76" s="7">
        <f t="shared" si="1"/>
        <v>19294471.460000001</v>
      </c>
    </row>
    <row r="77" spans="1:7" ht="22.5" x14ac:dyDescent="0.25">
      <c r="A77" s="10" t="s">
        <v>61</v>
      </c>
      <c r="B77" s="7">
        <v>21713384</v>
      </c>
      <c r="C77" s="7">
        <v>0</v>
      </c>
      <c r="D77" s="7">
        <v>0</v>
      </c>
      <c r="E77" s="7">
        <v>0</v>
      </c>
      <c r="F77" s="7">
        <f t="shared" si="1"/>
        <v>21713384</v>
      </c>
    </row>
    <row r="78" spans="1:7" x14ac:dyDescent="0.25">
      <c r="A78" s="10" t="s">
        <v>63</v>
      </c>
      <c r="B78" s="7">
        <v>3215274</v>
      </c>
      <c r="C78" s="7">
        <v>0</v>
      </c>
      <c r="D78" s="7">
        <v>0</v>
      </c>
      <c r="E78" s="7">
        <f>254685.24-683912.38</f>
        <v>-429227.14</v>
      </c>
      <c r="F78" s="7">
        <f t="shared" si="1"/>
        <v>2786046.86</v>
      </c>
    </row>
    <row r="79" spans="1:7" ht="22.5" x14ac:dyDescent="0.25">
      <c r="A79" s="10" t="s">
        <v>77</v>
      </c>
      <c r="B79" s="7">
        <v>172886650</v>
      </c>
      <c r="C79" s="7">
        <v>0</v>
      </c>
      <c r="D79" s="7">
        <v>0</v>
      </c>
      <c r="E79" s="7">
        <f>25665573.95-1859689.5</f>
        <v>23805884.449999999</v>
      </c>
      <c r="F79" s="7">
        <f t="shared" si="1"/>
        <v>196692534.44999999</v>
      </c>
    </row>
    <row r="80" spans="1:7" ht="22.5" x14ac:dyDescent="0.25">
      <c r="A80" s="10" t="s">
        <v>81</v>
      </c>
      <c r="B80" s="7">
        <v>96419993</v>
      </c>
      <c r="C80" s="7">
        <f>36326012+341605975.88+662506576.8</f>
        <v>1040438564.6799999</v>
      </c>
      <c r="D80" s="7">
        <v>0</v>
      </c>
      <c r="E80" s="7">
        <f>96945791.62-5842907.25</f>
        <v>91102884.370000005</v>
      </c>
      <c r="F80" s="7">
        <f t="shared" si="1"/>
        <v>1227961442.0499997</v>
      </c>
    </row>
    <row r="81" spans="1:6" x14ac:dyDescent="0.25">
      <c r="A81" s="10" t="s">
        <v>82</v>
      </c>
      <c r="B81" s="7">
        <v>84261034</v>
      </c>
      <c r="C81" s="7">
        <f>8000000</f>
        <v>8000000</v>
      </c>
      <c r="D81" s="7">
        <v>0</v>
      </c>
      <c r="E81" s="7">
        <f>1638340.94-4308752.49</f>
        <v>-2670411.5500000003</v>
      </c>
      <c r="F81" s="7">
        <f t="shared" si="1"/>
        <v>89590622.450000003</v>
      </c>
    </row>
    <row r="82" spans="1:6" ht="22.5" x14ac:dyDescent="0.25">
      <c r="A82" s="10" t="s">
        <v>87</v>
      </c>
      <c r="B82" s="7">
        <v>20002772</v>
      </c>
      <c r="C82" s="7">
        <v>0</v>
      </c>
      <c r="D82" s="7">
        <v>0</v>
      </c>
      <c r="E82" s="7">
        <f>4344567.71-2840562.6</f>
        <v>1504005.1099999999</v>
      </c>
      <c r="F82" s="7">
        <f t="shared" ref="F82" si="2">B82+C82-D82+E82</f>
        <v>21506777.109999999</v>
      </c>
    </row>
    <row r="83" spans="1:6" ht="23.1" customHeight="1" x14ac:dyDescent="0.25">
      <c r="A83" s="10" t="s">
        <v>89</v>
      </c>
      <c r="B83" s="7">
        <v>453581553</v>
      </c>
      <c r="C83" s="7">
        <f>14705582+25410624.1</f>
        <v>40116206.100000001</v>
      </c>
      <c r="D83" s="7">
        <v>0</v>
      </c>
      <c r="E83" s="7">
        <f>70337051.54-28415285.15</f>
        <v>41921766.390000008</v>
      </c>
      <c r="F83" s="7">
        <f t="shared" si="1"/>
        <v>535619525.49000001</v>
      </c>
    </row>
    <row r="84" spans="1:6" ht="22.5" x14ac:dyDescent="0.25">
      <c r="A84" s="10" t="s">
        <v>85</v>
      </c>
      <c r="B84" s="7">
        <v>35927662</v>
      </c>
      <c r="C84" s="7">
        <f>276358.4</f>
        <v>276358.40000000002</v>
      </c>
      <c r="D84" s="7">
        <v>0</v>
      </c>
      <c r="E84" s="7">
        <f>929021.1-1390634.98</f>
        <v>-461613.88</v>
      </c>
      <c r="F84" s="7">
        <f t="shared" si="1"/>
        <v>35742406.519999996</v>
      </c>
    </row>
    <row r="85" spans="1:6" ht="22.5" x14ac:dyDescent="0.25">
      <c r="A85" s="10" t="s">
        <v>88</v>
      </c>
      <c r="B85" s="7">
        <v>6500000</v>
      </c>
      <c r="C85" s="7">
        <v>0</v>
      </c>
      <c r="D85" s="7">
        <v>0</v>
      </c>
      <c r="E85" s="7">
        <v>-2914</v>
      </c>
      <c r="F85" s="7">
        <f t="shared" si="1"/>
        <v>6497086</v>
      </c>
    </row>
    <row r="86" spans="1:6" ht="22.5" x14ac:dyDescent="0.25">
      <c r="A86" s="11" t="s">
        <v>64</v>
      </c>
      <c r="B86" s="9">
        <v>1499665996</v>
      </c>
      <c r="C86" s="9">
        <f>5688301.18+72000000</f>
        <v>77688301.180000007</v>
      </c>
      <c r="D86" s="9">
        <v>0</v>
      </c>
      <c r="E86" s="9">
        <v>-6300</v>
      </c>
      <c r="F86" s="9">
        <f t="shared" si="1"/>
        <v>1577347997.1800001</v>
      </c>
    </row>
    <row r="87" spans="1:6" x14ac:dyDescent="0.25">
      <c r="A87" s="28" t="s">
        <v>55</v>
      </c>
      <c r="B87" s="29">
        <f>SUM(B7:B86)</f>
        <v>91167361282</v>
      </c>
      <c r="C87" s="29">
        <f>SUM(C7:C86)</f>
        <v>14084453034.590002</v>
      </c>
      <c r="D87" s="29">
        <f>SUM(D7:D86)</f>
        <v>5169867578.500001</v>
      </c>
      <c r="E87" s="29">
        <f>SUM(E7:E86)</f>
        <v>1.5168916434049606E-7</v>
      </c>
      <c r="F87" s="29">
        <f>SUM(F7:F86)</f>
        <v>100081946738.09003</v>
      </c>
    </row>
    <row r="88" spans="1:6" x14ac:dyDescent="0.25">
      <c r="A88" s="16"/>
      <c r="B88" s="17"/>
      <c r="C88" s="17"/>
      <c r="D88" s="4"/>
    </row>
    <row r="89" spans="1:6" x14ac:dyDescent="0.25">
      <c r="C89" s="12"/>
      <c r="F89" s="13"/>
    </row>
    <row r="90" spans="1:6" x14ac:dyDescent="0.25">
      <c r="C90" s="15"/>
      <c r="F90" s="14"/>
    </row>
    <row r="91" spans="1:6" x14ac:dyDescent="0.25">
      <c r="C91" s="14"/>
    </row>
  </sheetData>
  <mergeCells count="7">
    <mergeCell ref="A88:C88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Suelem Janeth González Rodríguez</cp:lastModifiedBy>
  <cp:lastPrinted>2024-04-30T03:23:40Z</cp:lastPrinted>
  <dcterms:created xsi:type="dcterms:W3CDTF">2017-04-10T23:52:00Z</dcterms:created>
  <dcterms:modified xsi:type="dcterms:W3CDTF">2024-04-30T03:24:00Z</dcterms:modified>
</cp:coreProperties>
</file>